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codeName="ThisWorkbook" defaultThemeVersion="166925"/>
  <xr:revisionPtr revIDLastSave="0" documentId="13_ncr:1_{3332C4B5-8FF0-4E3E-A11D-333BC386C8DA}" xr6:coauthVersionLast="47" xr6:coauthVersionMax="47" xr10:uidLastSave="{00000000-0000-0000-0000-000000000000}"/>
  <bookViews>
    <workbookView xWindow="1740" yWindow="-120" windowWidth="27180" windowHeight="16440" xr2:uid="{82CB0A6B-7235-4608-96D2-D5D725F8CF93}"/>
  </bookViews>
  <sheets>
    <sheet name="mikiモデル材料計算" sheetId="1" r:id="rId1"/>
    <sheet name="out音速" sheetId="2" r:id="rId2"/>
    <sheet name="out密度" sheetId="3" r:id="rId3"/>
  </sheets>
  <definedNames>
    <definedName name="sgm">mikiモデル材料計算!$E$6</definedName>
    <definedName name="z0">mikiモデル材料計算!$E$4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1" i="3" l="1"/>
  <c r="A20" i="3"/>
  <c r="A19" i="3"/>
  <c r="A18" i="3"/>
  <c r="A17" i="3"/>
  <c r="A16" i="3"/>
  <c r="A15" i="3"/>
  <c r="A14" i="3"/>
  <c r="A13" i="3"/>
  <c r="A12" i="3"/>
  <c r="A10" i="3"/>
  <c r="A11" i="3"/>
  <c r="A21" i="2"/>
  <c r="A20" i="2"/>
  <c r="A19" i="2"/>
  <c r="A18" i="2"/>
  <c r="A17" i="2"/>
  <c r="A16" i="2"/>
  <c r="A15" i="2"/>
  <c r="A14" i="2"/>
  <c r="A13" i="2"/>
  <c r="A12" i="2"/>
  <c r="A10" i="2"/>
  <c r="A11" i="2"/>
  <c r="B21" i="1"/>
  <c r="B20" i="1"/>
  <c r="B19" i="1"/>
  <c r="B18" i="1"/>
  <c r="B17" i="1"/>
  <c r="B16" i="1"/>
  <c r="B15" i="1"/>
  <c r="B14" i="1"/>
  <c r="B13" i="1"/>
  <c r="B12" i="1"/>
  <c r="B11" i="1"/>
  <c r="C21" i="1"/>
  <c r="D21" i="1" s="1"/>
  <c r="C20" i="1"/>
  <c r="C19" i="1"/>
  <c r="C18" i="1"/>
  <c r="C17" i="1"/>
  <c r="C16" i="1"/>
  <c r="C15" i="1"/>
  <c r="C14" i="1"/>
  <c r="C13" i="1"/>
  <c r="C12" i="1"/>
  <c r="A21" i="1"/>
  <c r="A20" i="1"/>
  <c r="A19" i="1"/>
  <c r="A18" i="1"/>
  <c r="A17" i="1"/>
  <c r="A16" i="1"/>
  <c r="A15" i="1"/>
  <c r="A14" i="1"/>
  <c r="A13" i="1"/>
  <c r="A12" i="1"/>
  <c r="A11" i="1"/>
  <c r="C11" i="1" s="1"/>
  <c r="E4" i="1"/>
  <c r="D13" i="1" l="1"/>
  <c r="D15" i="1"/>
  <c r="D17" i="1"/>
  <c r="D18" i="1"/>
  <c r="D14" i="1"/>
  <c r="D19" i="1"/>
  <c r="D12" i="1"/>
  <c r="E16" i="1"/>
  <c r="F16" i="1" s="1"/>
  <c r="C16" i="2" s="1"/>
  <c r="D20" i="1"/>
  <c r="D16" i="1"/>
  <c r="G16" i="1" s="1"/>
  <c r="E12" i="1"/>
  <c r="F12" i="1" s="1"/>
  <c r="E14" i="1"/>
  <c r="F14" i="1" s="1"/>
  <c r="G14" i="1" s="1"/>
  <c r="E17" i="1"/>
  <c r="F17" i="1" s="1"/>
  <c r="G17" i="1" s="1"/>
  <c r="E13" i="1"/>
  <c r="F13" i="1" s="1"/>
  <c r="E15" i="1"/>
  <c r="F15" i="1" s="1"/>
  <c r="E18" i="1"/>
  <c r="F18" i="1" s="1"/>
  <c r="G18" i="1" s="1"/>
  <c r="E19" i="1"/>
  <c r="F19" i="1" s="1"/>
  <c r="G13" i="1"/>
  <c r="E21" i="1"/>
  <c r="F21" i="1" s="1"/>
  <c r="E11" i="1"/>
  <c r="D11" i="1"/>
  <c r="B16" i="2" l="1"/>
  <c r="C17" i="3"/>
  <c r="B17" i="3"/>
  <c r="C14" i="3"/>
  <c r="B14" i="3"/>
  <c r="B19" i="2"/>
  <c r="C19" i="2"/>
  <c r="C15" i="2"/>
  <c r="B15" i="2"/>
  <c r="C13" i="3"/>
  <c r="B13" i="3"/>
  <c r="G21" i="1"/>
  <c r="C21" i="2"/>
  <c r="B21" i="2"/>
  <c r="C13" i="2"/>
  <c r="B13" i="2"/>
  <c r="C17" i="2"/>
  <c r="B17" i="2"/>
  <c r="C18" i="3"/>
  <c r="B18" i="3"/>
  <c r="C14" i="2"/>
  <c r="B14" i="2"/>
  <c r="C18" i="2"/>
  <c r="B18" i="2"/>
  <c r="G12" i="1"/>
  <c r="C12" i="2"/>
  <c r="B12" i="2"/>
  <c r="G19" i="1"/>
  <c r="G15" i="1"/>
  <c r="B16" i="3"/>
  <c r="C16" i="3"/>
  <c r="F11" i="1"/>
  <c r="E20" i="1"/>
  <c r="F20" i="1" s="1"/>
  <c r="C12" i="3" l="1"/>
  <c r="B12" i="3"/>
  <c r="G20" i="1"/>
  <c r="B20" i="3" s="1"/>
  <c r="C20" i="2"/>
  <c r="B20" i="2"/>
  <c r="C21" i="3"/>
  <c r="B21" i="3"/>
  <c r="C15" i="3"/>
  <c r="B15" i="3"/>
  <c r="C19" i="3"/>
  <c r="B19" i="3"/>
  <c r="G11" i="1"/>
  <c r="C11" i="2"/>
  <c r="B11" i="2"/>
  <c r="B11" i="3" l="1"/>
  <c r="C11" i="3"/>
  <c r="C20" i="3"/>
</calcChain>
</file>

<file path=xl/sharedStrings.xml><?xml version="1.0" encoding="utf-8"?>
<sst xmlns="http://schemas.openxmlformats.org/spreadsheetml/2006/main" count="23" uniqueCount="23">
  <si>
    <t>freq[Hz]</t>
    <phoneticPr fontId="1"/>
  </si>
  <si>
    <t>c</t>
    <phoneticPr fontId="1"/>
  </si>
  <si>
    <t>ρ</t>
    <phoneticPr fontId="1"/>
  </si>
  <si>
    <t>z0</t>
    <phoneticPr fontId="1"/>
  </si>
  <si>
    <t>sgm</t>
    <phoneticPr fontId="1"/>
  </si>
  <si>
    <t>f/sgm</t>
    <phoneticPr fontId="1"/>
  </si>
  <si>
    <t>omg/c</t>
    <phoneticPr fontId="1"/>
  </si>
  <si>
    <t>音速実部</t>
    <rPh sb="0" eb="4">
      <t>オンソクジツブ</t>
    </rPh>
    <phoneticPr fontId="1"/>
  </si>
  <si>
    <t>密度実部</t>
    <rPh sb="0" eb="2">
      <t>ミツド</t>
    </rPh>
    <rPh sb="2" eb="4">
      <t>ジツブ</t>
    </rPh>
    <phoneticPr fontId="1"/>
  </si>
  <si>
    <t>密度虚部</t>
    <rPh sb="0" eb="4">
      <t>ミツドキョブ</t>
    </rPh>
    <phoneticPr fontId="1"/>
  </si>
  <si>
    <t>音速虚部</t>
    <rPh sb="0" eb="4">
      <t>オンソクキョブ</t>
    </rPh>
    <phoneticPr fontId="1"/>
  </si>
  <si>
    <t>入力</t>
    <rPh sb="0" eb="2">
      <t>ニュウリョク</t>
    </rPh>
    <phoneticPr fontId="1"/>
  </si>
  <si>
    <t>出力</t>
    <rPh sb="0" eb="2">
      <t>シュツリョク</t>
    </rPh>
    <phoneticPr fontId="1"/>
  </si>
  <si>
    <t>空気の音速[m/s]</t>
    <rPh sb="0" eb="2">
      <t>クウキ</t>
    </rPh>
    <rPh sb="3" eb="5">
      <t>オンソク</t>
    </rPh>
    <phoneticPr fontId="1"/>
  </si>
  <si>
    <t>空気の密度[kg/m3]</t>
    <rPh sb="0" eb="2">
      <t>クウキ</t>
    </rPh>
    <rPh sb="3" eb="5">
      <t>ミツド</t>
    </rPh>
    <phoneticPr fontId="1"/>
  </si>
  <si>
    <t>流れ抵抗[N/m4]</t>
    <rPh sb="0" eb="1">
      <t>ナガ</t>
    </rPh>
    <rPh sb="2" eb="4">
      <t>テイコウ</t>
    </rPh>
    <phoneticPr fontId="1"/>
  </si>
  <si>
    <t>空気の固有音響インピーダンス</t>
    <rPh sb="0" eb="2">
      <t>クウキ</t>
    </rPh>
    <rPh sb="3" eb="7">
      <t>コユウオンキョウ</t>
    </rPh>
    <phoneticPr fontId="1"/>
  </si>
  <si>
    <t>吸収材の複素音速</t>
    <rPh sb="0" eb="2">
      <t>キュウシュウ</t>
    </rPh>
    <rPh sb="2" eb="3">
      <t>ザイ</t>
    </rPh>
    <rPh sb="4" eb="6">
      <t>フクソ</t>
    </rPh>
    <rPh sb="6" eb="8">
      <t>オンソク</t>
    </rPh>
    <phoneticPr fontId="1"/>
  </si>
  <si>
    <t>吸収材の複素密度</t>
    <rPh sb="0" eb="2">
      <t>キュウシュウ</t>
    </rPh>
    <rPh sb="2" eb="3">
      <t>ザイ</t>
    </rPh>
    <rPh sb="4" eb="6">
      <t>フクソ</t>
    </rPh>
    <rPh sb="6" eb="8">
      <t>ミツド</t>
    </rPh>
    <phoneticPr fontId="1"/>
  </si>
  <si>
    <t>吸収材の固有音響インピーダンス(Zf)</t>
    <rPh sb="0" eb="2">
      <t>キュウシュウ</t>
    </rPh>
    <rPh sb="2" eb="3">
      <t>ザイ</t>
    </rPh>
    <rPh sb="4" eb="8">
      <t>コユウオンキョウ</t>
    </rPh>
    <phoneticPr fontId="1"/>
  </si>
  <si>
    <t>吸収材の複素波数(kf)</t>
    <rPh sb="0" eb="2">
      <t>キュウシュウ</t>
    </rPh>
    <rPh sb="2" eb="3">
      <t>ザイ</t>
    </rPh>
    <rPh sb="4" eb="6">
      <t>フクソ</t>
    </rPh>
    <rPh sb="6" eb="8">
      <t>ハスウ</t>
    </rPh>
    <phoneticPr fontId="1"/>
  </si>
  <si>
    <t>吸収材の複素音速</t>
    <rPh sb="0" eb="2">
      <t>キュウシュウ</t>
    </rPh>
    <rPh sb="2" eb="3">
      <t>ザイ</t>
    </rPh>
    <rPh sb="4" eb="6">
      <t>フクソ</t>
    </rPh>
    <rPh sb="6" eb="8">
      <t>オンソク</t>
    </rPh>
    <phoneticPr fontId="1"/>
  </si>
  <si>
    <t>吸収材の複素密度</t>
    <rPh sb="0" eb="2">
      <t>キュウシュウ</t>
    </rPh>
    <rPh sb="2" eb="3">
      <t>ザイ</t>
    </rPh>
    <rPh sb="4" eb="6">
      <t>フクソ</t>
    </rPh>
    <rPh sb="6" eb="8">
      <t>ミツド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</si>
</sst>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11" fontId="0" fillId="3" borderId="1" xfId="0" applyNumberFormat="1" applyFill="1" applyBorder="1">
      <alignment vertical="center"/>
    </xf>
    <xf numFmtId="11" fontId="0" fillId="3" borderId="6" xfId="0" applyNumberFormat="1" applyFill="1" applyBorder="1">
      <alignment vertical="center"/>
    </xf>
    <xf numFmtId="0" fontId="0" fillId="2" borderId="7" xfId="0" applyFill="1" applyBorder="1" applyAlignment="1">
      <alignment horizontal="center" vertical="center"/>
    </xf>
    <xf numFmtId="0" fontId="0" fillId="3" borderId="8" xfId="0" applyFill="1" applyBorder="1">
      <alignment vertical="center"/>
    </xf>
    <xf numFmtId="11" fontId="0" fillId="3" borderId="8" xfId="0" applyNumberFormat="1" applyFill="1" applyBorder="1">
      <alignment vertical="center"/>
    </xf>
    <xf numFmtId="11" fontId="0" fillId="3" borderId="9" xfId="0" applyNumberForma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</cellXfs>
  <cellStyles count="2">
    <cellStyle name="標準" xfId="0" builtinId="0"/>
    <cellStyle name="標準 2" xfId="1" xr:uid="{DB1DCF85-6013-4667-B77D-7725F636E5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752475</xdr:colOff>
      <xdr:row>21</xdr:row>
      <xdr:rowOff>219075</xdr:rowOff>
    </xdr:from>
    <xdr:to>
      <xdr:col>6</xdr:col>
      <xdr:colOff>887285</xdr:colOff>
      <xdr:row>36</xdr:row>
      <xdr:rowOff>124312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316988B-7C68-481D-8C23-5EA466D09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3050" y="5248275"/>
          <a:ext cx="10459910" cy="3486637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DB61E-3A05-47C2-8EA0-4E300D130BEE}">
  <sheetPr codeName="Sheet1"/>
  <dimension ref="A1:G22"/>
  <sheetViews>
    <sheetView tabSelected="1" zoomScale="90" zoomScaleNormal="90" workbookViewId="0">
      <selection activeCell="D2" sqref="D2"/>
    </sheetView>
  </sheetViews>
  <sheetFormatPr defaultRowHeight="18.75" x14ac:dyDescent="0.4"/>
  <cols>
    <col min="1" max="1" width="10.375" customWidth="1"/>
    <col min="2" max="3" width="12.75" bestFit="1" customWidth="1"/>
    <col min="4" max="5" width="36.5" bestFit="1" customWidth="1"/>
    <col min="6" max="6" width="37" bestFit="1" customWidth="1"/>
    <col min="7" max="7" width="36.5" bestFit="1" customWidth="1"/>
  </cols>
  <sheetData>
    <row r="1" spans="1:7" s="1" customFormat="1" x14ac:dyDescent="0.4"/>
    <row r="2" spans="1:7" s="1" customFormat="1" x14ac:dyDescent="0.4">
      <c r="A2" s="1" t="s">
        <v>11</v>
      </c>
      <c r="B2" s="2"/>
      <c r="D2" s="1" t="s">
        <v>1</v>
      </c>
      <c r="E2" s="2">
        <v>340</v>
      </c>
      <c r="F2" s="1" t="s">
        <v>13</v>
      </c>
    </row>
    <row r="3" spans="1:7" s="1" customFormat="1" x14ac:dyDescent="0.4">
      <c r="A3" s="1" t="s">
        <v>12</v>
      </c>
      <c r="B3" s="3"/>
      <c r="D3" s="1" t="s">
        <v>2</v>
      </c>
      <c r="E3" s="2">
        <v>1.1439999999999999</v>
      </c>
      <c r="F3" s="1" t="s">
        <v>14</v>
      </c>
    </row>
    <row r="4" spans="1:7" s="1" customFormat="1" x14ac:dyDescent="0.4">
      <c r="D4" s="1" t="s">
        <v>3</v>
      </c>
      <c r="E4" s="3">
        <f>E2*E3</f>
        <v>388.96</v>
      </c>
      <c r="F4" s="1" t="s">
        <v>16</v>
      </c>
    </row>
    <row r="5" spans="1:7" s="1" customFormat="1" x14ac:dyDescent="0.4"/>
    <row r="6" spans="1:7" s="1" customFormat="1" x14ac:dyDescent="0.4">
      <c r="D6" s="1" t="s">
        <v>4</v>
      </c>
      <c r="E6" s="2">
        <v>6900</v>
      </c>
      <c r="F6" s="1" t="s">
        <v>15</v>
      </c>
    </row>
    <row r="7" spans="1:7" s="1" customFormat="1" x14ac:dyDescent="0.4">
      <c r="E7" s="15"/>
    </row>
    <row r="9" spans="1:7" ht="19.5" thickBot="1" x14ac:dyDescent="0.45"/>
    <row r="10" spans="1:7" s="1" customFormat="1" ht="19.5" thickTop="1" x14ac:dyDescent="0.4">
      <c r="A10" s="12" t="s">
        <v>0</v>
      </c>
      <c r="B10" s="13" t="s">
        <v>6</v>
      </c>
      <c r="C10" s="13" t="s">
        <v>5</v>
      </c>
      <c r="D10" s="13" t="s">
        <v>19</v>
      </c>
      <c r="E10" s="13" t="s">
        <v>20</v>
      </c>
      <c r="F10" s="13" t="s">
        <v>17</v>
      </c>
      <c r="G10" s="14" t="s">
        <v>18</v>
      </c>
    </row>
    <row r="11" spans="1:7" x14ac:dyDescent="0.4">
      <c r="A11" s="4">
        <f>10^(2)</f>
        <v>100</v>
      </c>
      <c r="B11" s="5">
        <f>2*PI()*A11/E$2</f>
        <v>1.8479956785822313</v>
      </c>
      <c r="C11" s="5">
        <f t="shared" ref="C11:C21" si="0">A11/sgm</f>
        <v>1.4492753623188406E-2</v>
      </c>
      <c r="D11" s="5" t="str">
        <f t="shared" ref="D11:D21" si="1">COMPLEX(z0*(1+0.07*(C11)^(-0.632)),-z0*0.107*(C11)^(-0.632))</f>
        <v>784.468304532306-604.562694070811i</v>
      </c>
      <c r="E11" s="5" t="str">
        <f>COMPLEX(B11*(1+0.109*(C11)^(-0.618)),-B11*0.16*(C11)^(-0.618))</f>
        <v>4.60562689935431-4.04789903966544i</v>
      </c>
      <c r="F11" s="6" t="str">
        <f>IMDIV(2*PI()*A11,E11)</f>
        <v>76.9683413859681+67.6477018198286i</v>
      </c>
      <c r="G11" s="7" t="str">
        <f>IMDIV(D11,F11)</f>
        <v>1.85536399024551-9.48537789568744i</v>
      </c>
    </row>
    <row r="12" spans="1:7" x14ac:dyDescent="0.4">
      <c r="A12" s="4">
        <f>10^(2+2/10)</f>
        <v>158.48931924611153</v>
      </c>
      <c r="B12" s="5">
        <f t="shared" ref="B12:B21" si="2">2*PI()*A12/E$2</f>
        <v>2.9288757706825375</v>
      </c>
      <c r="C12" s="5">
        <f t="shared" si="0"/>
        <v>2.2969466557407468E-2</v>
      </c>
      <c r="D12" s="5" t="str">
        <f t="shared" si="1"/>
        <v>684.59483547133-451.89896279189i</v>
      </c>
      <c r="E12" s="5" t="str">
        <f t="shared" ref="E12:E21" si="3">COMPLEX(B12*(1+0.109*(C12)^(-0.618)),-B12*0.16*(C12)^(-0.618))</f>
        <v>6.21690891976252-4.82647067754859i</v>
      </c>
      <c r="F12" s="6" t="str">
        <f t="shared" ref="F12:F21" si="4">IMDIV(2*PI()*A12,E12)</f>
        <v>99.942380216742+77.5898398683543i</v>
      </c>
      <c r="G12" s="7" t="str">
        <f t="shared" ref="G12:G21" si="5">IMDIV(D12,F12)</f>
        <v>2.08370118012474-6.13926746952226i</v>
      </c>
    </row>
    <row r="13" spans="1:7" x14ac:dyDescent="0.4">
      <c r="A13" s="4">
        <f>10^(2+4/10)</f>
        <v>251.18864315095806</v>
      </c>
      <c r="B13" s="5">
        <f t="shared" si="2"/>
        <v>4.6419552705190466</v>
      </c>
      <c r="C13" s="5">
        <f t="shared" si="0"/>
        <v>3.6404151181298271E-2</v>
      </c>
      <c r="D13" s="5" t="str">
        <f t="shared" si="1"/>
        <v>609.941342092202-337.78576576951i</v>
      </c>
      <c r="E13" s="5" t="str">
        <f t="shared" si="3"/>
        <v>8.56240768925178-5.75479254125905i</v>
      </c>
      <c r="F13" s="6" t="str">
        <f t="shared" si="4"/>
        <v>126.970157944083+85.3366184392635i</v>
      </c>
      <c r="G13" s="7" t="str">
        <f t="shared" si="5"/>
        <v>2.07739502825951-4.05657235513991i</v>
      </c>
    </row>
    <row r="14" spans="1:7" x14ac:dyDescent="0.4">
      <c r="A14" s="4">
        <f>10^(2+6/10)</f>
        <v>398.10717055349761</v>
      </c>
      <c r="B14" s="5">
        <f t="shared" si="2"/>
        <v>7.3570033079546286</v>
      </c>
      <c r="C14" s="5">
        <f t="shared" si="0"/>
        <v>5.7696691384564874E-2</v>
      </c>
      <c r="D14" s="5" t="str">
        <f t="shared" si="1"/>
        <v>554.139294500315-252.488350164767i</v>
      </c>
      <c r="E14" s="5" t="str">
        <f t="shared" si="3"/>
        <v>12.0315143212782-6.86166754249331i</v>
      </c>
      <c r="F14" s="6" t="str">
        <f t="shared" si="4"/>
        <v>156.877769627502+89.4686297374921i</v>
      </c>
      <c r="G14" s="7" t="str">
        <f t="shared" si="5"/>
        <v>1.97276764098197-2.73454402629831i</v>
      </c>
    </row>
    <row r="15" spans="1:7" x14ac:dyDescent="0.4">
      <c r="A15" s="4">
        <f>10^(2+8/10)</f>
        <v>630.95734448019323</v>
      </c>
      <c r="B15" s="5">
        <f t="shared" si="2"/>
        <v>11.660064459691174</v>
      </c>
      <c r="C15" s="5">
        <f t="shared" si="0"/>
        <v>9.1443093402926556E-2</v>
      </c>
      <c r="D15" s="5" t="str">
        <f t="shared" si="1"/>
        <v>512.428339332638-188.730175837032i</v>
      </c>
      <c r="E15" s="5" t="str">
        <f t="shared" si="3"/>
        <v>17.2336694623369-8.18143853599374i</v>
      </c>
      <c r="F15" s="6" t="str">
        <f t="shared" si="4"/>
        <v>187.729898636867+89.122089200009i</v>
      </c>
      <c r="G15" s="7" t="str">
        <f t="shared" si="5"/>
        <v>1.83808293959413-1.87793191226558i</v>
      </c>
    </row>
    <row r="16" spans="1:7" x14ac:dyDescent="0.4">
      <c r="A16" s="4">
        <f>10^(2+10/10)</f>
        <v>1000</v>
      </c>
      <c r="B16" s="5">
        <f t="shared" si="2"/>
        <v>18.47995678582231</v>
      </c>
      <c r="C16" s="5">
        <f t="shared" si="0"/>
        <v>0.14492753623188406</v>
      </c>
      <c r="D16" s="5" t="str">
        <f t="shared" si="1"/>
        <v>481.250204191-141.072169263386i</v>
      </c>
      <c r="E16" s="5" t="str">
        <f t="shared" si="3"/>
        <v>25.1255872350766-9.75505387046499i</v>
      </c>
      <c r="F16" s="6" t="str">
        <f t="shared" si="4"/>
        <v>217.313471057532+84.3723411162494i</v>
      </c>
      <c r="G16" s="7" t="str">
        <f t="shared" si="5"/>
        <v>1.70542914980837-1.31130029746371i</v>
      </c>
    </row>
    <row r="17" spans="1:7" x14ac:dyDescent="0.4">
      <c r="A17" s="4">
        <f>10^(2+12/10)</f>
        <v>1584.8931924611156</v>
      </c>
      <c r="B17" s="5">
        <f t="shared" si="2"/>
        <v>29.288757706825383</v>
      </c>
      <c r="C17" s="5">
        <f t="shared" si="0"/>
        <v>0.22969466557407472</v>
      </c>
      <c r="D17" s="5" t="str">
        <f t="shared" si="1"/>
        <v>457.945149032169-105.448727806316i</v>
      </c>
      <c r="E17" s="5" t="str">
        <f t="shared" si="3"/>
        <v>37.2126066424947-11.631337887221i</v>
      </c>
      <c r="F17" s="6" t="str">
        <f t="shared" si="4"/>
        <v>243.785282235587+76.1986123910925i</v>
      </c>
      <c r="G17" s="7" t="str">
        <f t="shared" si="5"/>
        <v>1.58812420453399-0.928938721894079i</v>
      </c>
    </row>
    <row r="18" spans="1:7" x14ac:dyDescent="0.4">
      <c r="A18" s="4">
        <f>10^(2+14/10)</f>
        <v>2511.8864315095811</v>
      </c>
      <c r="B18" s="5">
        <f t="shared" si="2"/>
        <v>46.419552705190476</v>
      </c>
      <c r="C18" s="5">
        <f t="shared" si="0"/>
        <v>0.36404151181298278</v>
      </c>
      <c r="D18" s="5" t="str">
        <f t="shared" si="1"/>
        <v>440.525069431873-78.8208918458624i</v>
      </c>
      <c r="E18" s="5" t="str">
        <f t="shared" si="3"/>
        <v>55.867472272002-13.8685057861453i</v>
      </c>
      <c r="F18" s="6" t="str">
        <f t="shared" si="4"/>
        <v>266.103518254599+66.0573681347133i</v>
      </c>
      <c r="G18" s="7" t="str">
        <f t="shared" si="5"/>
        <v>1.49011079931155-0.666108026831523i</v>
      </c>
    </row>
    <row r="19" spans="1:7" x14ac:dyDescent="0.4">
      <c r="A19" s="4">
        <f>10^(2+16/10)</f>
        <v>3981.0717055349769</v>
      </c>
      <c r="B19" s="5">
        <f t="shared" si="2"/>
        <v>73.570033079546306</v>
      </c>
      <c r="C19" s="5">
        <f t="shared" si="0"/>
        <v>0.5769669138456488</v>
      </c>
      <c r="D19" s="5" t="str">
        <f t="shared" si="1"/>
        <v>427.503895647365-58.9170976324005i</v>
      </c>
      <c r="E19" s="5" t="str">
        <f t="shared" si="3"/>
        <v>84.83516254701-16.5359698604972i</v>
      </c>
      <c r="F19" s="6" t="str">
        <f t="shared" si="4"/>
        <v>284.059554919755+55.3685535303411i</v>
      </c>
      <c r="G19" s="7" t="str">
        <f t="shared" si="5"/>
        <v>1.41094496865907-0.482430804683469i</v>
      </c>
    </row>
    <row r="20" spans="1:7" x14ac:dyDescent="0.4">
      <c r="A20" s="4">
        <f>10^(2+18/10)</f>
        <v>6309.5734448019384</v>
      </c>
      <c r="B20" s="5">
        <f t="shared" si="2"/>
        <v>116.60064459691185</v>
      </c>
      <c r="C20" s="5">
        <f t="shared" si="0"/>
        <v>0.91443093402926645</v>
      </c>
      <c r="D20" s="5" t="str">
        <f t="shared" si="1"/>
        <v>417.770819185219-44.0393950402634i</v>
      </c>
      <c r="E20" s="5" t="str">
        <f t="shared" si="3"/>
        <v>130.032505550143-19.716493142357i</v>
      </c>
      <c r="F20" s="6" t="str">
        <f t="shared" si="4"/>
        <v>298.027389016651+45.1891236496665i</v>
      </c>
      <c r="G20" s="7" t="str">
        <f t="shared" si="5"/>
        <v>1.34838029510346-0.352221046759574i</v>
      </c>
    </row>
    <row r="21" spans="1:7" ht="19.5" thickBot="1" x14ac:dyDescent="0.45">
      <c r="A21" s="8">
        <f>10^(2+20/10)</f>
        <v>10000</v>
      </c>
      <c r="B21" s="9">
        <f t="shared" si="2"/>
        <v>184.79956785822313</v>
      </c>
      <c r="C21" s="9">
        <f t="shared" si="0"/>
        <v>1.4492753623188406</v>
      </c>
      <c r="D21" s="9" t="str">
        <f t="shared" si="1"/>
        <v>410.495532103905-32.9185990731118i</v>
      </c>
      <c r="E21" s="9" t="str">
        <f t="shared" si="3"/>
        <v>200.814908754926-23.5087572795638i</v>
      </c>
      <c r="F21" s="10" t="str">
        <f t="shared" si="4"/>
        <v>308.654408476959+36.1331816304908i</v>
      </c>
      <c r="G21" s="11" t="str">
        <f t="shared" si="5"/>
        <v>1.29965524611932-0.258798435869819i</v>
      </c>
    </row>
    <row r="22" spans="1:7" ht="19.5" thickTop="1" x14ac:dyDescent="0.4"/>
  </sheetData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2C366-AACC-4CF7-A444-AA2D7DCFB00E}">
  <sheetPr codeName="Sheet2"/>
  <dimension ref="A8:C22"/>
  <sheetViews>
    <sheetView workbookViewId="0">
      <selection activeCell="A8" sqref="A8"/>
    </sheetView>
  </sheetViews>
  <sheetFormatPr defaultRowHeight="18.75" x14ac:dyDescent="0.4"/>
  <sheetData>
    <row r="8" spans="1:3" x14ac:dyDescent="0.4">
      <c r="A8" t="s">
        <v>21</v>
      </c>
    </row>
    <row r="9" spans="1:3" ht="19.5" thickBot="1" x14ac:dyDescent="0.45"/>
    <row r="10" spans="1:3" ht="19.5" thickTop="1" x14ac:dyDescent="0.4">
      <c r="A10" s="16" t="str">
        <f>mikiモデル材料計算!A10</f>
        <v>freq[Hz]</v>
      </c>
      <c r="B10" s="17" t="s">
        <v>7</v>
      </c>
      <c r="C10" s="18" t="s">
        <v>10</v>
      </c>
    </row>
    <row r="11" spans="1:3" x14ac:dyDescent="0.4">
      <c r="A11" s="19">
        <f>mikiモデル材料計算!A11</f>
        <v>100</v>
      </c>
      <c r="B11" s="20">
        <f>IMREAL(mikiモデル材料計算!F11)</f>
        <v>76.968341385968102</v>
      </c>
      <c r="C11" s="21">
        <f>IMAGINARY(mikiモデル材料計算!F11)</f>
        <v>67.647701819828598</v>
      </c>
    </row>
    <row r="12" spans="1:3" x14ac:dyDescent="0.4">
      <c r="A12" s="19">
        <f>mikiモデル材料計算!A12</f>
        <v>158.48931924611153</v>
      </c>
      <c r="B12" s="20">
        <f>IMREAL(mikiモデル材料計算!F12)</f>
        <v>99.942380216741995</v>
      </c>
      <c r="C12" s="21">
        <f>IMAGINARY(mikiモデル材料計算!F12)</f>
        <v>77.589839868354304</v>
      </c>
    </row>
    <row r="13" spans="1:3" x14ac:dyDescent="0.4">
      <c r="A13" s="19">
        <f>mikiモデル材料計算!A13</f>
        <v>251.18864315095806</v>
      </c>
      <c r="B13" s="20">
        <f>IMREAL(mikiモデル材料計算!F13)</f>
        <v>126.970157944083</v>
      </c>
      <c r="C13" s="21">
        <f>IMAGINARY(mikiモデル材料計算!F13)</f>
        <v>85.336618439263503</v>
      </c>
    </row>
    <row r="14" spans="1:3" x14ac:dyDescent="0.4">
      <c r="A14" s="19">
        <f>mikiモデル材料計算!A14</f>
        <v>398.10717055349761</v>
      </c>
      <c r="B14" s="20">
        <f>IMREAL(mikiモデル材料計算!F14)</f>
        <v>156.877769627502</v>
      </c>
      <c r="C14" s="21">
        <f>IMAGINARY(mikiモデル材料計算!F14)</f>
        <v>89.468629737492094</v>
      </c>
    </row>
    <row r="15" spans="1:3" x14ac:dyDescent="0.4">
      <c r="A15" s="19">
        <f>mikiモデル材料計算!A15</f>
        <v>630.95734448019323</v>
      </c>
      <c r="B15" s="20">
        <f>IMREAL(mikiモデル材料計算!F15)</f>
        <v>187.72989863686701</v>
      </c>
      <c r="C15" s="21">
        <f>IMAGINARY(mikiモデル材料計算!F15)</f>
        <v>89.122089200009</v>
      </c>
    </row>
    <row r="16" spans="1:3" x14ac:dyDescent="0.4">
      <c r="A16" s="19">
        <f>mikiモデル材料計算!A16</f>
        <v>1000</v>
      </c>
      <c r="B16" s="20">
        <f>IMREAL(mikiモデル材料計算!F16)</f>
        <v>217.31347105753201</v>
      </c>
      <c r="C16" s="21">
        <f>IMAGINARY(mikiモデル材料計算!F16)</f>
        <v>84.372341116249402</v>
      </c>
    </row>
    <row r="17" spans="1:3" x14ac:dyDescent="0.4">
      <c r="A17" s="19">
        <f>mikiモデル材料計算!A17</f>
        <v>1584.8931924611156</v>
      </c>
      <c r="B17" s="20">
        <f>IMREAL(mikiモデル材料計算!F17)</f>
        <v>243.785282235587</v>
      </c>
      <c r="C17" s="21">
        <f>IMAGINARY(mikiモデル材料計算!F17)</f>
        <v>76.198612391092496</v>
      </c>
    </row>
    <row r="18" spans="1:3" x14ac:dyDescent="0.4">
      <c r="A18" s="19">
        <f>mikiモデル材料計算!A18</f>
        <v>2511.8864315095811</v>
      </c>
      <c r="B18" s="20">
        <f>IMREAL(mikiモデル材料計算!F18)</f>
        <v>266.10351825459901</v>
      </c>
      <c r="C18" s="21">
        <f>IMAGINARY(mikiモデル材料計算!F18)</f>
        <v>66.0573681347133</v>
      </c>
    </row>
    <row r="19" spans="1:3" x14ac:dyDescent="0.4">
      <c r="A19" s="19">
        <f>mikiモデル材料計算!A19</f>
        <v>3981.0717055349769</v>
      </c>
      <c r="B19" s="20">
        <f>IMREAL(mikiモデル材料計算!F19)</f>
        <v>284.05955491975499</v>
      </c>
      <c r="C19" s="21">
        <f>IMAGINARY(mikiモデル材料計算!F19)</f>
        <v>55.368553530341103</v>
      </c>
    </row>
    <row r="20" spans="1:3" x14ac:dyDescent="0.4">
      <c r="A20" s="19">
        <f>mikiモデル材料計算!A20</f>
        <v>6309.5734448019384</v>
      </c>
      <c r="B20" s="20">
        <f>IMREAL(mikiモデル材料計算!F20)</f>
        <v>298.027389016651</v>
      </c>
      <c r="C20" s="21">
        <f>IMAGINARY(mikiモデル材料計算!F20)</f>
        <v>45.189123649666499</v>
      </c>
    </row>
    <row r="21" spans="1:3" ht="19.5" thickBot="1" x14ac:dyDescent="0.45">
      <c r="A21" s="22">
        <f>mikiモデル材料計算!A21</f>
        <v>10000</v>
      </c>
      <c r="B21" s="23">
        <f>IMREAL(mikiモデル材料計算!F21)</f>
        <v>308.65440847695902</v>
      </c>
      <c r="C21" s="24">
        <f>IMAGINARY(mikiモデル材料計算!F21)</f>
        <v>36.133181630490803</v>
      </c>
    </row>
    <row r="22" spans="1:3" ht="19.5" thickTop="1" x14ac:dyDescent="0.4"/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4EC6E-F375-4CDE-8029-0270063A53B8}">
  <sheetPr codeName="Sheet3"/>
  <dimension ref="A8:C22"/>
  <sheetViews>
    <sheetView workbookViewId="0">
      <selection activeCell="E9" sqref="E9"/>
    </sheetView>
  </sheetViews>
  <sheetFormatPr defaultRowHeight="18.75" x14ac:dyDescent="0.4"/>
  <sheetData>
    <row r="8" spans="1:3" x14ac:dyDescent="0.4">
      <c r="A8" t="s">
        <v>22</v>
      </c>
    </row>
    <row r="9" spans="1:3" ht="19.5" thickBot="1" x14ac:dyDescent="0.45"/>
    <row r="10" spans="1:3" ht="19.5" thickTop="1" x14ac:dyDescent="0.4">
      <c r="A10" s="16" t="str">
        <f>mikiモデル材料計算!A10</f>
        <v>freq[Hz]</v>
      </c>
      <c r="B10" s="17" t="s">
        <v>8</v>
      </c>
      <c r="C10" s="18" t="s">
        <v>9</v>
      </c>
    </row>
    <row r="11" spans="1:3" x14ac:dyDescent="0.4">
      <c r="A11" s="19">
        <f>mikiモデル材料計算!A11</f>
        <v>100</v>
      </c>
      <c r="B11" s="20">
        <f>IMREAL(mikiモデル材料計算!G11)</f>
        <v>1.8553639902455099</v>
      </c>
      <c r="C11" s="21">
        <f>IMAGINARY(mikiモデル材料計算!G11)</f>
        <v>-9.4853778956874404</v>
      </c>
    </row>
    <row r="12" spans="1:3" x14ac:dyDescent="0.4">
      <c r="A12" s="19">
        <f>mikiモデル材料計算!A12</f>
        <v>158.48931924611153</v>
      </c>
      <c r="B12" s="20">
        <f>IMREAL(mikiモデル材料計算!G12)</f>
        <v>2.08370118012474</v>
      </c>
      <c r="C12" s="21">
        <f>IMAGINARY(mikiモデル材料計算!G12)</f>
        <v>-6.1392674695222604</v>
      </c>
    </row>
    <row r="13" spans="1:3" x14ac:dyDescent="0.4">
      <c r="A13" s="19">
        <f>mikiモデル材料計算!A13</f>
        <v>251.18864315095806</v>
      </c>
      <c r="B13" s="20">
        <f>IMREAL(mikiモデル材料計算!G13)</f>
        <v>2.0773950282595099</v>
      </c>
      <c r="C13" s="21">
        <f>IMAGINARY(mikiモデル材料計算!G13)</f>
        <v>-4.0565723551399104</v>
      </c>
    </row>
    <row r="14" spans="1:3" x14ac:dyDescent="0.4">
      <c r="A14" s="19">
        <f>mikiモデル材料計算!A14</f>
        <v>398.10717055349761</v>
      </c>
      <c r="B14" s="20">
        <f>IMREAL(mikiモデル材料計算!G14)</f>
        <v>1.9727676409819701</v>
      </c>
      <c r="C14" s="21">
        <f>IMAGINARY(mikiモデル材料計算!G14)</f>
        <v>-2.7345440262983098</v>
      </c>
    </row>
    <row r="15" spans="1:3" x14ac:dyDescent="0.4">
      <c r="A15" s="19">
        <f>mikiモデル材料計算!A15</f>
        <v>630.95734448019323</v>
      </c>
      <c r="B15" s="20">
        <f>IMREAL(mikiモデル材料計算!G15)</f>
        <v>1.83808293959413</v>
      </c>
      <c r="C15" s="21">
        <f>IMAGINARY(mikiモデル材料計算!G15)</f>
        <v>-1.87793191226558</v>
      </c>
    </row>
    <row r="16" spans="1:3" x14ac:dyDescent="0.4">
      <c r="A16" s="19">
        <f>mikiモデル材料計算!A16</f>
        <v>1000</v>
      </c>
      <c r="B16" s="20">
        <f>IMREAL(mikiモデル材料計算!G16)</f>
        <v>1.70542914980837</v>
      </c>
      <c r="C16" s="21">
        <f>IMAGINARY(mikiモデル材料計算!G16)</f>
        <v>-1.31130029746371</v>
      </c>
    </row>
    <row r="17" spans="1:3" x14ac:dyDescent="0.4">
      <c r="A17" s="19">
        <f>mikiモデル材料計算!A17</f>
        <v>1584.8931924611156</v>
      </c>
      <c r="B17" s="20">
        <f>IMREAL(mikiモデル材料計算!G17)</f>
        <v>1.5881242045339901</v>
      </c>
      <c r="C17" s="21">
        <f>IMAGINARY(mikiモデル材料計算!G17)</f>
        <v>-0.928938721894079</v>
      </c>
    </row>
    <row r="18" spans="1:3" x14ac:dyDescent="0.4">
      <c r="A18" s="19">
        <f>mikiモデル材料計算!A18</f>
        <v>2511.8864315095811</v>
      </c>
      <c r="B18" s="20">
        <f>IMREAL(mikiモデル材料計算!G18)</f>
        <v>1.4901107993115501</v>
      </c>
      <c r="C18" s="21">
        <f>IMAGINARY(mikiモデル材料計算!G18)</f>
        <v>-0.66610802683152304</v>
      </c>
    </row>
    <row r="19" spans="1:3" x14ac:dyDescent="0.4">
      <c r="A19" s="19">
        <f>mikiモデル材料計算!A19</f>
        <v>3981.0717055349769</v>
      </c>
      <c r="B19" s="20">
        <f>IMREAL(mikiモデル材料計算!G19)</f>
        <v>1.41094496865907</v>
      </c>
      <c r="C19" s="21">
        <f>IMAGINARY(mikiモデル材料計算!G19)</f>
        <v>-0.48243080468346899</v>
      </c>
    </row>
    <row r="20" spans="1:3" x14ac:dyDescent="0.4">
      <c r="A20" s="19">
        <f>mikiモデル材料計算!A20</f>
        <v>6309.5734448019384</v>
      </c>
      <c r="B20" s="20">
        <f>IMREAL(mikiモデル材料計算!G20)</f>
        <v>1.34838029510346</v>
      </c>
      <c r="C20" s="21">
        <f>IMAGINARY(mikiモデル材料計算!G20)</f>
        <v>-0.352221046759574</v>
      </c>
    </row>
    <row r="21" spans="1:3" ht="19.5" thickBot="1" x14ac:dyDescent="0.45">
      <c r="A21" s="22">
        <f>mikiモデル材料計算!A21</f>
        <v>10000</v>
      </c>
      <c r="B21" s="23">
        <f>IMREAL(mikiモデル材料計算!G21)</f>
        <v>1.29965524611932</v>
      </c>
      <c r="C21" s="24">
        <f>IMAGINARY(mikiモデル材料計算!G21)</f>
        <v>-0.25879843586981899</v>
      </c>
    </row>
    <row r="22" spans="1:3" ht="19.5" thickTop="1" x14ac:dyDescent="0.4"/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mikiモデル材料計算</vt:lpstr>
      <vt:lpstr>out音速</vt:lpstr>
      <vt:lpstr>out密度</vt:lpstr>
      <vt:lpstr>sgm</vt:lpstr>
      <vt:lpstr>z0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2023-03-07T07:12:14Z</dcterms:created>
  <dcterms:modified xsi:type="dcterms:W3CDTF">2023-03-07T07:12:45Z</dcterms:modified>
</cp:coreProperties>
</file>